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My Documents\Hydro &amp; Dams\Littoral Zone Analyses\"/>
    </mc:Choice>
  </mc:AlternateContent>
  <xr:revisionPtr revIDLastSave="0" documentId="13_ncr:1_{79E8A3CE-32ED-441E-A952-0FE4D11EB185}" xr6:coauthVersionLast="47" xr6:coauthVersionMax="47" xr10:uidLastSave="{00000000-0000-0000-0000-000000000000}"/>
  <bookViews>
    <workbookView xWindow="-120" yWindow="-120" windowWidth="29040" windowHeight="15720" xr2:uid="{21D70531-B7F4-4CD0-BD01-7CCD4588660A}"/>
  </bookViews>
  <sheets>
    <sheet name="Littoral Analys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 l="1"/>
  <c r="N26" i="1"/>
  <c r="M26" i="1"/>
  <c r="U24" i="1"/>
  <c r="T27" i="1"/>
  <c r="M24" i="1"/>
  <c r="L26" i="1"/>
  <c r="E25" i="1"/>
  <c r="E24" i="1"/>
  <c r="D34" i="1"/>
  <c r="B34" i="1"/>
  <c r="E33" i="1"/>
  <c r="F33" i="1" s="1"/>
  <c r="F32" i="1" s="1"/>
  <c r="F31" i="1" s="1"/>
  <c r="D33" i="1"/>
  <c r="B33" i="1"/>
  <c r="D32" i="1"/>
  <c r="E32" i="1" s="1"/>
  <c r="B32" i="1"/>
  <c r="E31" i="1"/>
  <c r="D31" i="1"/>
  <c r="B31" i="1"/>
  <c r="D30" i="1"/>
  <c r="E30" i="1" s="1"/>
  <c r="B30" i="1"/>
  <c r="H30" i="1" s="1"/>
  <c r="P30" i="1" s="1"/>
  <c r="D29" i="1"/>
  <c r="B29" i="1"/>
  <c r="E28" i="1"/>
  <c r="D28" i="1"/>
  <c r="B28" i="1"/>
  <c r="D27" i="1"/>
  <c r="E27" i="1" s="1"/>
  <c r="B27" i="1"/>
  <c r="D26" i="1"/>
  <c r="B26" i="1"/>
  <c r="D25" i="1"/>
  <c r="B25" i="1"/>
  <c r="D24" i="1"/>
  <c r="C9" i="1"/>
  <c r="C8" i="1"/>
  <c r="C10" i="1" s="1"/>
  <c r="H24" i="1" s="1"/>
  <c r="P24" i="1" s="1"/>
  <c r="F30" i="1" l="1"/>
  <c r="F29" i="1" s="1"/>
  <c r="F28" i="1" s="1"/>
  <c r="F27" i="1" s="1"/>
  <c r="F26" i="1" s="1"/>
  <c r="F25" i="1" s="1"/>
  <c r="F24" i="1" s="1"/>
  <c r="G34" i="1"/>
  <c r="G33" i="1"/>
  <c r="G32" i="1"/>
  <c r="G29" i="1"/>
  <c r="J29" i="1" s="1"/>
  <c r="G26" i="1"/>
  <c r="J26" i="1" s="1"/>
  <c r="C11" i="1"/>
  <c r="H29" i="1"/>
  <c r="P29" i="1" s="1"/>
  <c r="G31" i="1"/>
  <c r="E29" i="1"/>
  <c r="G30" i="1"/>
  <c r="J30" i="1" s="1"/>
  <c r="H31" i="1"/>
  <c r="P31" i="1" s="1"/>
  <c r="H26" i="1"/>
  <c r="P26" i="1" s="1"/>
  <c r="G28" i="1"/>
  <c r="E26" i="1"/>
  <c r="G27" i="1"/>
  <c r="H28" i="1"/>
  <c r="P28" i="1" s="1"/>
  <c r="G25" i="1"/>
  <c r="J25" i="1" s="1"/>
  <c r="G24" i="1"/>
  <c r="J24" i="1" s="1"/>
  <c r="H25" i="1"/>
  <c r="P25" i="1" s="1"/>
  <c r="H33" i="1"/>
  <c r="P33" i="1" s="1"/>
  <c r="H34" i="1"/>
  <c r="P34" i="1" s="1"/>
  <c r="H32" i="1"/>
  <c r="P32" i="1" s="1"/>
  <c r="H27" i="1"/>
  <c r="P27" i="1" s="1"/>
  <c r="K30" i="1" l="1"/>
  <c r="I30" i="1"/>
  <c r="O30" i="1"/>
  <c r="R30" i="1" s="1"/>
  <c r="J31" i="1"/>
  <c r="N24" i="1"/>
  <c r="K24" i="1"/>
  <c r="L24" i="1" s="1"/>
  <c r="I24" i="1"/>
  <c r="O24" i="1"/>
  <c r="R24" i="1" s="1"/>
  <c r="O25" i="1"/>
  <c r="R25" i="1" s="1"/>
  <c r="M25" i="1"/>
  <c r="N25" i="1" s="1"/>
  <c r="K25" i="1"/>
  <c r="L25" i="1" s="1"/>
  <c r="I25" i="1"/>
  <c r="I26" i="1"/>
  <c r="K26" i="1"/>
  <c r="I29" i="1"/>
  <c r="O29" i="1"/>
  <c r="R29" i="1" s="1"/>
  <c r="K29" i="1"/>
  <c r="J27" i="1"/>
  <c r="J32" i="1"/>
  <c r="J33" i="1"/>
  <c r="J28" i="1"/>
  <c r="J34" i="1"/>
  <c r="K27" i="1" l="1"/>
  <c r="I27" i="1"/>
  <c r="O27" i="1"/>
  <c r="R27" i="1" s="1"/>
  <c r="Q25" i="1"/>
  <c r="U25" i="1"/>
  <c r="V25" i="1" s="1"/>
  <c r="S25" i="1"/>
  <c r="T25" i="1" s="1"/>
  <c r="V24" i="1"/>
  <c r="S24" i="1"/>
  <c r="T24" i="1" s="1"/>
  <c r="Q24" i="1"/>
  <c r="O26" i="1"/>
  <c r="R26" i="1" s="1"/>
  <c r="O31" i="1"/>
  <c r="R31" i="1" s="1"/>
  <c r="K31" i="1"/>
  <c r="I31" i="1"/>
  <c r="S30" i="1"/>
  <c r="Q30" i="1"/>
  <c r="K33" i="1"/>
  <c r="L33" i="1" s="1"/>
  <c r="I33" i="1"/>
  <c r="O33" i="1"/>
  <c r="R33" i="1" s="1"/>
  <c r="I32" i="1"/>
  <c r="O32" i="1"/>
  <c r="R32" i="1" s="1"/>
  <c r="K32" i="1"/>
  <c r="S29" i="1"/>
  <c r="Q29" i="1"/>
  <c r="O34" i="1"/>
  <c r="R34" i="1" s="1"/>
  <c r="M34" i="1"/>
  <c r="N34" i="1" s="1"/>
  <c r="I34" i="1"/>
  <c r="K34" i="1"/>
  <c r="O28" i="1"/>
  <c r="R28" i="1" s="1"/>
  <c r="K28" i="1"/>
  <c r="I28" i="1"/>
  <c r="M33" i="1" l="1"/>
  <c r="N33" i="1" s="1"/>
  <c r="S34" i="1"/>
  <c r="Q34" i="1"/>
  <c r="U34" i="1"/>
  <c r="V34" i="1" s="1"/>
  <c r="L29" i="1"/>
  <c r="L32" i="1"/>
  <c r="M32" i="1" s="1"/>
  <c r="L31" i="1"/>
  <c r="M31" i="1" s="1"/>
  <c r="Q28" i="1"/>
  <c r="S28" i="1"/>
  <c r="T28" i="1" s="1"/>
  <c r="S32" i="1"/>
  <c r="Q32" i="1"/>
  <c r="L28" i="1"/>
  <c r="M28" i="1" s="1"/>
  <c r="Q27" i="1"/>
  <c r="S27" i="1"/>
  <c r="L30" i="1"/>
  <c r="M30" i="1" s="1"/>
  <c r="Q31" i="1"/>
  <c r="S31" i="1"/>
  <c r="L27" i="1"/>
  <c r="L34" i="1"/>
  <c r="S33" i="1"/>
  <c r="Q33" i="1"/>
  <c r="U26" i="1"/>
  <c r="V26" i="1" s="1"/>
  <c r="S26" i="1"/>
  <c r="T26" i="1" s="1"/>
  <c r="Q26" i="1"/>
  <c r="C13" i="1" l="1"/>
  <c r="T29" i="1"/>
  <c r="M29" i="1"/>
  <c r="T33" i="1"/>
  <c r="U33" i="1" s="1"/>
  <c r="V33" i="1" s="1"/>
  <c r="T30" i="1"/>
  <c r="U30" i="1" s="1"/>
  <c r="T32" i="1"/>
  <c r="N31" i="1"/>
  <c r="N30" i="1" s="1"/>
  <c r="N32" i="1"/>
  <c r="M27" i="1"/>
  <c r="T34" i="1"/>
  <c r="T31" i="1"/>
  <c r="C14" i="1"/>
  <c r="C15" i="1" l="1"/>
  <c r="U32" i="1"/>
  <c r="V32" i="1" s="1"/>
  <c r="N29" i="1"/>
  <c r="N28" i="1" s="1"/>
  <c r="U29" i="1"/>
  <c r="U31" i="1"/>
  <c r="V31" i="1" s="1"/>
  <c r="V30" i="1" s="1"/>
  <c r="N27" i="1"/>
  <c r="C18" i="1" s="1"/>
  <c r="U28" i="1"/>
  <c r="V29" i="1" l="1"/>
  <c r="V28" i="1" s="1"/>
  <c r="V27" i="1" s="1"/>
  <c r="C17" i="1" s="1"/>
  <c r="C19" i="1" s="1"/>
</calcChain>
</file>

<file path=xl/sharedStrings.xml><?xml version="1.0" encoding="utf-8"?>
<sst xmlns="http://schemas.openxmlformats.org/spreadsheetml/2006/main" count="77" uniqueCount="43">
  <si>
    <t>Graham Lake Drawdown - Littoral Zone Standard Analysis (Black Bear Hydro Partners)</t>
  </si>
  <si>
    <t>(This analysis uses the bathymetry data from the Black Bear Hydro Partners letter to MDEP dated March 10, 2025)</t>
  </si>
  <si>
    <t>feet</t>
  </si>
  <si>
    <t>Average Secchi Depth =</t>
  </si>
  <si>
    <t>meters</t>
  </si>
  <si>
    <t>Littoral Zone Depth (2 x  Secchi Depth) =</t>
  </si>
  <si>
    <t>Top Elevation of Littoral Zone =</t>
  </si>
  <si>
    <t>Bottom Elevation of Littoral Zone =</t>
  </si>
  <si>
    <t>Elevation of Water Surface at Drawdown =</t>
  </si>
  <si>
    <t>Remaining Littoral Area at Drawdown =</t>
  </si>
  <si>
    <r>
      <t>m</t>
    </r>
    <r>
      <rPr>
        <vertAlign val="superscript"/>
        <sz val="11"/>
        <color theme="1"/>
        <rFont val="Aptos Narrow"/>
        <family val="2"/>
        <scheme val="minor"/>
      </rPr>
      <t>2</t>
    </r>
  </si>
  <si>
    <t>Total Littoral Area =</t>
  </si>
  <si>
    <t>% Total Littoral Area Remaining =</t>
  </si>
  <si>
    <t>NOTE:  This result (77%) differs from BBHP's result (75%).  This is likely due to different equations being used to compute the layer volumes.</t>
  </si>
  <si>
    <t>Remaining Littoral Volume at Drawdown =</t>
  </si>
  <si>
    <r>
      <t>m</t>
    </r>
    <r>
      <rPr>
        <vertAlign val="superscript"/>
        <sz val="11"/>
        <color theme="1"/>
        <rFont val="Aptos Narrow"/>
        <family val="2"/>
        <scheme val="minor"/>
      </rPr>
      <t>3</t>
    </r>
  </si>
  <si>
    <t>Total Littoral Volume =</t>
  </si>
  <si>
    <t>% Total Littoral Volume Remaining =</t>
  </si>
  <si>
    <t>→</t>
  </si>
  <si>
    <t>LITTORAL ZONE BATHYMETRY DATA</t>
  </si>
  <si>
    <t>DRAWDOWN LEVEL BATHYMETRY DATA</t>
  </si>
  <si>
    <t>DEPTH</t>
  </si>
  <si>
    <t>ELEVATION</t>
  </si>
  <si>
    <t>BBHP LAYER AREA</t>
  </si>
  <si>
    <t>LAYER AREA</t>
  </si>
  <si>
    <t>LAYER VOLUME</t>
  </si>
  <si>
    <t>CUMULATIVE VOL.</t>
  </si>
  <si>
    <t>TOP</t>
  </si>
  <si>
    <t>BOT</t>
  </si>
  <si>
    <t>LITTORAL AREA</t>
  </si>
  <si>
    <t>LITTORAL VOL.</t>
  </si>
  <si>
    <t>(ft)</t>
  </si>
  <si>
    <t>(feet)</t>
  </si>
  <si>
    <t>(acres)</t>
  </si>
  <si>
    <r>
      <t>(m</t>
    </r>
    <r>
      <rPr>
        <vertAlign val="superscript"/>
        <sz val="11"/>
        <color theme="1"/>
        <rFont val="Aptos Narrow"/>
        <family val="2"/>
        <scheme val="minor"/>
      </rPr>
      <t>2</t>
    </r>
    <r>
      <rPr>
        <sz val="11"/>
        <color theme="1"/>
        <rFont val="Aptos Narrow"/>
        <family val="2"/>
        <scheme val="minor"/>
      </rPr>
      <t>)</t>
    </r>
  </si>
  <si>
    <r>
      <t>(m</t>
    </r>
    <r>
      <rPr>
        <vertAlign val="superscript"/>
        <sz val="11"/>
        <color theme="1"/>
        <rFont val="Aptos Narrow"/>
        <family val="2"/>
        <scheme val="minor"/>
      </rPr>
      <t>3</t>
    </r>
    <r>
      <rPr>
        <sz val="11"/>
        <color theme="1"/>
        <rFont val="Aptos Narrow"/>
        <family val="2"/>
        <scheme val="minor"/>
      </rPr>
      <t>)</t>
    </r>
  </si>
  <si>
    <t>(m)</t>
  </si>
  <si>
    <r>
      <t>(m</t>
    </r>
    <r>
      <rPr>
        <vertAlign val="superscript"/>
        <sz val="11"/>
        <rFont val="Aptos Narrow"/>
        <family val="2"/>
        <scheme val="minor"/>
      </rPr>
      <t>2</t>
    </r>
    <r>
      <rPr>
        <sz val="11"/>
        <rFont val="Aptos Narrow"/>
        <family val="2"/>
        <scheme val="minor"/>
      </rPr>
      <t>)</t>
    </r>
  </si>
  <si>
    <r>
      <t>(m</t>
    </r>
    <r>
      <rPr>
        <vertAlign val="superscript"/>
        <sz val="11"/>
        <rFont val="Aptos Narrow"/>
        <family val="2"/>
        <scheme val="minor"/>
      </rPr>
      <t>3</t>
    </r>
    <r>
      <rPr>
        <sz val="11"/>
        <rFont val="Aptos Narrow"/>
        <family val="2"/>
        <scheme val="minor"/>
      </rPr>
      <t>)</t>
    </r>
  </si>
  <si>
    <t>NOTE: The 0.0-foot depth is at elevation 104.2 feet, which is the lake's full pond surface elevation in the BBHP's March 2025 analysis and the MDEP analyses done in 2019.  The bathyetry dataset extends to a depth of 14.2 feet rather than the 47-foot depth of the lake.</t>
  </si>
  <si>
    <t>GRAHAM LAKE BATHYMETRY DATA (from BBHP)</t>
  </si>
  <si>
    <r>
      <rPr>
        <b/>
        <sz val="11"/>
        <color theme="1"/>
        <rFont val="Aptos Narrow"/>
        <family val="2"/>
        <scheme val="minor"/>
      </rPr>
      <t>Proposed</t>
    </r>
    <r>
      <rPr>
        <sz val="11"/>
        <color theme="1"/>
        <rFont val="Aptos Narrow"/>
        <family val="2"/>
        <scheme val="minor"/>
      </rPr>
      <t xml:space="preserve"> Mean High Water Elevation =</t>
    </r>
  </si>
  <si>
    <r>
      <rPr>
        <b/>
        <sz val="11"/>
        <color theme="1"/>
        <rFont val="Aptos Narrow"/>
        <family val="2"/>
        <scheme val="minor"/>
      </rPr>
      <t>Proposed</t>
    </r>
    <r>
      <rPr>
        <sz val="11"/>
        <color theme="1"/>
        <rFont val="Aptos Narrow"/>
        <family val="2"/>
        <scheme val="minor"/>
      </rPr>
      <t xml:space="preserve"> Maximum Drawdown Depth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</si>
</sst>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6"/>
      <color theme="1"/>
      <name val="Aptos Narrow"/>
      <family val="2"/>
      <scheme val="minor"/>
    </font>
    <font>
      <sz val="11"/>
      <color theme="0" tint="-0.24994659260841701"/>
      <name val="Aptos Narrow"/>
      <family val="2"/>
      <scheme val="minor"/>
    </font>
    <font>
      <sz val="12"/>
      <color rgb="FFFF0000"/>
      <name val="Aptos Narrow"/>
      <family val="2"/>
      <scheme val="minor"/>
    </font>
    <font>
      <b/>
      <sz val="12"/>
      <color theme="8" tint="0.39994506668294322"/>
      <name val="Aptos Narrow"/>
      <family val="2"/>
      <scheme val="minor"/>
    </font>
    <font>
      <b/>
      <sz val="11"/>
      <color theme="4"/>
      <name val="Aptos Narrow"/>
      <family val="2"/>
      <scheme val="minor"/>
    </font>
    <font>
      <sz val="11"/>
      <name val="Aptos Narrow"/>
      <family val="2"/>
      <scheme val="minor"/>
    </font>
    <font>
      <vertAlign val="superscript"/>
      <sz val="11"/>
      <color theme="1"/>
      <name val="Aptos Narrow"/>
      <family val="2"/>
      <scheme val="minor"/>
    </font>
    <font>
      <b/>
      <sz val="12"/>
      <name val="Aptos Narrow"/>
      <family val="2"/>
      <scheme val="minor"/>
    </font>
    <font>
      <b/>
      <sz val="11"/>
      <color rgb="FFFF0000"/>
      <name val="Aptos Narrow"/>
      <family val="2"/>
      <scheme val="minor"/>
    </font>
    <font>
      <b/>
      <sz val="14"/>
      <color theme="1"/>
      <name val="Aptos Narrow"/>
      <family val="2"/>
      <scheme val="minor"/>
    </font>
    <font>
      <b/>
      <sz val="11"/>
      <color theme="0" tint="-0.24994659260841701"/>
      <name val="Calibri"/>
      <family val="2"/>
    </font>
    <font>
      <b/>
      <sz val="11"/>
      <name val="Aptos Narrow"/>
      <family val="2"/>
      <scheme val="minor"/>
    </font>
    <font>
      <b/>
      <sz val="11"/>
      <color theme="0" tint="-0.24994659260841701"/>
      <name val="Aptos Narrow"/>
      <family val="2"/>
      <scheme val="minor"/>
    </font>
    <font>
      <vertAlign val="superscript"/>
      <sz val="11"/>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38">
    <xf numFmtId="0" fontId="0" fillId="0" borderId="0" xfId="0"/>
    <xf numFmtId="0" fontId="4" fillId="0" borderId="0" xfId="0" applyFont="1" applyAlignment="1">
      <alignment horizontal="center"/>
    </xf>
    <xf numFmtId="0" fontId="0" fillId="0" borderId="0" xfId="0" applyAlignment="1">
      <alignment horizontal="center"/>
    </xf>
    <xf numFmtId="0" fontId="4" fillId="0" borderId="0" xfId="0" applyFont="1"/>
    <xf numFmtId="0" fontId="0" fillId="0" borderId="0" xfId="0" applyAlignment="1">
      <alignment horizontal="right"/>
    </xf>
    <xf numFmtId="2" fontId="6" fillId="0" borderId="0" xfId="0" applyNumberFormat="1" applyFont="1" applyAlignment="1">
      <alignment horizontal="center"/>
    </xf>
    <xf numFmtId="2" fontId="7" fillId="0" borderId="0" xfId="0" applyNumberFormat="1" applyFont="1" applyAlignment="1">
      <alignment horizontal="center"/>
    </xf>
    <xf numFmtId="0" fontId="8" fillId="0" borderId="0" xfId="0" applyFont="1"/>
    <xf numFmtId="2" fontId="0" fillId="0" borderId="0" xfId="0" applyNumberFormat="1"/>
    <xf numFmtId="2" fontId="8" fillId="0" borderId="0" xfId="0" applyNumberFormat="1" applyFont="1" applyAlignment="1">
      <alignment horizontal="center"/>
    </xf>
    <xf numFmtId="3" fontId="8" fillId="0" borderId="0" xfId="0" applyNumberFormat="1" applyFont="1" applyAlignment="1">
      <alignment horizontal="center"/>
    </xf>
    <xf numFmtId="0" fontId="11" fillId="0" borderId="0" xfId="0" applyFont="1"/>
    <xf numFmtId="0" fontId="2" fillId="0" borderId="0" xfId="0" applyFont="1"/>
    <xf numFmtId="3" fontId="0" fillId="0" borderId="0" xfId="0" applyNumberFormat="1"/>
    <xf numFmtId="2" fontId="8" fillId="0" borderId="0" xfId="0" applyNumberFormat="1" applyFont="1"/>
    <xf numFmtId="2" fontId="4" fillId="0" borderId="0" xfId="0" applyNumberFormat="1" applyFont="1"/>
    <xf numFmtId="164" fontId="2" fillId="0" borderId="0" xfId="0" applyNumberFormat="1" applyFont="1" applyAlignment="1">
      <alignment horizontal="center"/>
    </xf>
    <xf numFmtId="2" fontId="2" fillId="0" borderId="0" xfId="0" applyNumberFormat="1" applyFont="1" applyAlignment="1">
      <alignment horizontal="center"/>
    </xf>
    <xf numFmtId="0" fontId="2"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8" fillId="0" borderId="0" xfId="0" applyFont="1" applyAlignment="1">
      <alignment horizontal="center"/>
    </xf>
    <xf numFmtId="3" fontId="0" fillId="0" borderId="0" xfId="0" applyNumberFormat="1" applyAlignment="1">
      <alignment horizontal="center"/>
    </xf>
    <xf numFmtId="2" fontId="4" fillId="0" borderId="0" xfId="0" applyNumberFormat="1" applyFont="1" applyAlignment="1">
      <alignment horizontal="center"/>
    </xf>
    <xf numFmtId="165" fontId="8" fillId="0" borderId="0" xfId="0" applyNumberFormat="1" applyFont="1" applyAlignment="1">
      <alignment horizontal="center"/>
    </xf>
    <xf numFmtId="4" fontId="4" fillId="0" borderId="0" xfId="0" applyNumberFormat="1" applyFont="1" applyAlignment="1">
      <alignment horizontal="center"/>
    </xf>
    <xf numFmtId="165" fontId="0" fillId="0" borderId="0" xfId="0" applyNumberFormat="1" applyAlignment="1">
      <alignment horizontal="center"/>
    </xf>
    <xf numFmtId="0" fontId="1" fillId="0" borderId="0" xfId="0" applyFont="1" applyAlignment="1">
      <alignment horizontal="left" vertical="top" wrapText="1"/>
    </xf>
    <xf numFmtId="1" fontId="10" fillId="2" borderId="0" xfId="0" applyNumberFormat="1" applyFont="1" applyFill="1" applyAlignment="1">
      <alignment horizontal="center"/>
    </xf>
    <xf numFmtId="0" fontId="13" fillId="0" borderId="0" xfId="0" applyFont="1" applyAlignment="1">
      <alignment horizontal="center"/>
    </xf>
    <xf numFmtId="0" fontId="12" fillId="0" borderId="0" xfId="0" applyFont="1" applyAlignment="1">
      <alignment horizontal="center"/>
    </xf>
    <xf numFmtId="0" fontId="1" fillId="0" borderId="0" xfId="0" applyFont="1" applyAlignment="1">
      <alignment horizontal="left" vertical="top" wrapText="1"/>
    </xf>
    <xf numFmtId="0" fontId="0" fillId="0" borderId="0" xfId="0" applyAlignment="1">
      <alignment horizontal="right"/>
    </xf>
    <xf numFmtId="0" fontId="2" fillId="0" borderId="0" xfId="0" applyFont="1" applyAlignment="1">
      <alignment horizontal="right"/>
    </xf>
    <xf numFmtId="164" fontId="3" fillId="0" borderId="0" xfId="0" applyNumberFormat="1" applyFont="1" applyAlignment="1">
      <alignment horizontal="center"/>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61C5B-6B9B-4321-B889-30454F002B46}">
  <dimension ref="A1:V52"/>
  <sheetViews>
    <sheetView tabSelected="1" workbookViewId="0">
      <selection sqref="A1:F1"/>
    </sheetView>
  </sheetViews>
  <sheetFormatPr defaultRowHeight="15" x14ac:dyDescent="0.25"/>
  <cols>
    <col min="1" max="5" width="20.7109375" customWidth="1"/>
    <col min="6" max="6" width="20.7109375" style="1" customWidth="1"/>
    <col min="7" max="8" width="6.7109375" style="1" customWidth="1"/>
    <col min="9" max="11" width="18.7109375" style="2" customWidth="1"/>
    <col min="12" max="13" width="18.7109375" customWidth="1"/>
    <col min="14" max="14" width="18.7109375" style="3" customWidth="1"/>
    <col min="15" max="15" width="6.7109375" style="3" customWidth="1"/>
    <col min="16" max="16" width="6.7109375" customWidth="1"/>
    <col min="17" max="18" width="18.7109375" customWidth="1"/>
    <col min="19" max="20" width="18.7109375" style="2" customWidth="1"/>
    <col min="21" max="22" width="18.7109375" customWidth="1"/>
  </cols>
  <sheetData>
    <row r="1" spans="1:21" ht="21" x14ac:dyDescent="0.35">
      <c r="A1" s="36" t="s">
        <v>0</v>
      </c>
      <c r="B1" s="36"/>
      <c r="C1" s="36"/>
      <c r="D1" s="36"/>
      <c r="E1" s="36"/>
      <c r="F1" s="36"/>
    </row>
    <row r="2" spans="1:21" ht="15.75" x14ac:dyDescent="0.25">
      <c r="A2" s="37" t="s">
        <v>1</v>
      </c>
      <c r="B2" s="37"/>
      <c r="C2" s="37"/>
      <c r="D2" s="37"/>
      <c r="E2" s="37"/>
      <c r="F2" s="37"/>
    </row>
    <row r="3" spans="1:21" x14ac:dyDescent="0.25">
      <c r="A3" s="2"/>
      <c r="B3" s="2"/>
      <c r="S3"/>
      <c r="T3"/>
    </row>
    <row r="4" spans="1:21" ht="15.75" x14ac:dyDescent="0.25">
      <c r="A4" s="34" t="s">
        <v>41</v>
      </c>
      <c r="B4" s="34"/>
      <c r="C4" s="5">
        <v>103</v>
      </c>
      <c r="D4" t="s">
        <v>2</v>
      </c>
      <c r="S4"/>
      <c r="T4"/>
    </row>
    <row r="5" spans="1:21" ht="15.75" x14ac:dyDescent="0.25">
      <c r="A5" s="34" t="s">
        <v>3</v>
      </c>
      <c r="B5" s="34"/>
      <c r="C5" s="5">
        <v>1.77</v>
      </c>
      <c r="D5" t="s">
        <v>4</v>
      </c>
      <c r="S5"/>
      <c r="T5"/>
    </row>
    <row r="6" spans="1:21" ht="15.75" x14ac:dyDescent="0.25">
      <c r="A6" s="34" t="s">
        <v>42</v>
      </c>
      <c r="B6" s="34"/>
      <c r="C6" s="5">
        <v>2.9</v>
      </c>
      <c r="D6" t="s">
        <v>2</v>
      </c>
      <c r="S6"/>
      <c r="T6"/>
    </row>
    <row r="7" spans="1:21" x14ac:dyDescent="0.25">
      <c r="A7" s="4"/>
      <c r="B7" s="4"/>
      <c r="C7" s="6"/>
      <c r="S7"/>
      <c r="T7"/>
    </row>
    <row r="8" spans="1:21" x14ac:dyDescent="0.25">
      <c r="A8" s="4"/>
      <c r="B8" s="4" t="s">
        <v>5</v>
      </c>
      <c r="C8" s="2">
        <f>C5*2</f>
        <v>3.54</v>
      </c>
      <c r="D8" s="7" t="s">
        <v>4</v>
      </c>
      <c r="P8" s="7"/>
      <c r="Q8" s="7"/>
      <c r="U8" s="8"/>
    </row>
    <row r="9" spans="1:21" x14ac:dyDescent="0.25">
      <c r="A9" s="4"/>
      <c r="B9" s="4" t="s">
        <v>6</v>
      </c>
      <c r="C9" s="9">
        <f>C4</f>
        <v>103</v>
      </c>
      <c r="D9" t="s">
        <v>2</v>
      </c>
      <c r="U9" s="8"/>
    </row>
    <row r="10" spans="1:21" x14ac:dyDescent="0.25">
      <c r="A10" s="2"/>
      <c r="B10" s="4" t="s">
        <v>7</v>
      </c>
      <c r="C10" s="9">
        <f>C4-(C8*3.28084)</f>
        <v>91.385826399999999</v>
      </c>
      <c r="D10" t="s">
        <v>2</v>
      </c>
      <c r="F10"/>
      <c r="G10"/>
      <c r="H10"/>
    </row>
    <row r="11" spans="1:21" x14ac:dyDescent="0.25">
      <c r="A11" s="2"/>
      <c r="B11" s="4" t="s">
        <v>8</v>
      </c>
      <c r="C11" s="9">
        <f>C9-C6</f>
        <v>100.1</v>
      </c>
      <c r="D11" t="s">
        <v>2</v>
      </c>
      <c r="F11"/>
      <c r="G11"/>
      <c r="H11"/>
    </row>
    <row r="12" spans="1:21" x14ac:dyDescent="0.25">
      <c r="A12" s="2"/>
      <c r="B12" s="4"/>
      <c r="C12" s="9"/>
      <c r="F12"/>
      <c r="G12"/>
      <c r="H12"/>
    </row>
    <row r="13" spans="1:21" ht="16.5" x14ac:dyDescent="0.25">
      <c r="A13" s="34" t="s">
        <v>9</v>
      </c>
      <c r="B13" s="34"/>
      <c r="C13" s="10">
        <f>MAX(T24:T34)</f>
        <v>13739229.759222034</v>
      </c>
      <c r="D13" t="s">
        <v>10</v>
      </c>
      <c r="F13"/>
      <c r="G13"/>
      <c r="H13"/>
    </row>
    <row r="14" spans="1:21" ht="16.5" x14ac:dyDescent="0.25">
      <c r="A14" s="34" t="s">
        <v>11</v>
      </c>
      <c r="B14" s="34"/>
      <c r="C14" s="10">
        <f>MAX(L24:L34)</f>
        <v>17937843.028750788</v>
      </c>
      <c r="D14" t="s">
        <v>10</v>
      </c>
      <c r="F14"/>
      <c r="G14"/>
      <c r="H14"/>
    </row>
    <row r="15" spans="1:21" ht="15.75" x14ac:dyDescent="0.25">
      <c r="A15" s="35" t="s">
        <v>12</v>
      </c>
      <c r="B15" s="35"/>
      <c r="C15" s="30">
        <f>(C13/C14)*100</f>
        <v>76.593544369859785</v>
      </c>
      <c r="D15" s="11" t="s">
        <v>13</v>
      </c>
      <c r="F15"/>
      <c r="G15"/>
      <c r="H15"/>
    </row>
    <row r="16" spans="1:21" x14ac:dyDescent="0.25">
      <c r="A16" s="2"/>
      <c r="B16" s="4"/>
      <c r="C16" s="9"/>
      <c r="F16"/>
      <c r="G16"/>
      <c r="H16"/>
    </row>
    <row r="17" spans="1:22" ht="16.5" x14ac:dyDescent="0.25">
      <c r="A17" s="34" t="s">
        <v>14</v>
      </c>
      <c r="B17" s="34"/>
      <c r="C17" s="10">
        <f>MAX(V24:V34)</f>
        <v>19217862.804279804</v>
      </c>
      <c r="D17" t="s">
        <v>15</v>
      </c>
      <c r="F17"/>
      <c r="G17"/>
      <c r="H17"/>
    </row>
    <row r="18" spans="1:22" ht="16.5" x14ac:dyDescent="0.25">
      <c r="A18" s="34" t="s">
        <v>16</v>
      </c>
      <c r="B18" s="34"/>
      <c r="C18" s="10">
        <f>MAX(N24:N34)</f>
        <v>33192913.436159808</v>
      </c>
      <c r="D18" t="s">
        <v>15</v>
      </c>
      <c r="F18"/>
      <c r="G18"/>
      <c r="H18"/>
    </row>
    <row r="19" spans="1:22" ht="15.75" x14ac:dyDescent="0.25">
      <c r="A19" s="34" t="s">
        <v>17</v>
      </c>
      <c r="B19" s="34"/>
      <c r="C19" s="30">
        <f>(C17/C18)*100</f>
        <v>57.897487188768984</v>
      </c>
      <c r="D19" s="12"/>
      <c r="F19"/>
      <c r="G19"/>
      <c r="H19"/>
    </row>
    <row r="20" spans="1:22" x14ac:dyDescent="0.25">
      <c r="E20" s="13"/>
      <c r="F20"/>
      <c r="G20"/>
      <c r="H20"/>
      <c r="L20" s="2"/>
      <c r="M20" s="14"/>
      <c r="N20" s="15"/>
      <c r="O20" s="15"/>
      <c r="P20" s="14"/>
      <c r="Q20" s="14"/>
    </row>
    <row r="21" spans="1:22" ht="18.75" x14ac:dyDescent="0.3">
      <c r="A21" s="32" t="s">
        <v>40</v>
      </c>
      <c r="B21" s="32"/>
      <c r="C21" s="32"/>
      <c r="D21" s="32"/>
      <c r="E21" s="32"/>
      <c r="F21" s="32"/>
      <c r="G21" s="31" t="s">
        <v>18</v>
      </c>
      <c r="H21" s="31"/>
      <c r="I21" s="32" t="s">
        <v>19</v>
      </c>
      <c r="J21" s="32"/>
      <c r="K21" s="32"/>
      <c r="L21" s="32"/>
      <c r="M21" s="32"/>
      <c r="N21" s="32"/>
      <c r="O21" s="31" t="s">
        <v>18</v>
      </c>
      <c r="P21" s="31"/>
      <c r="Q21" s="32" t="s">
        <v>20</v>
      </c>
      <c r="R21" s="32"/>
      <c r="S21" s="32"/>
      <c r="T21" s="32"/>
      <c r="U21" s="32"/>
      <c r="V21" s="32"/>
    </row>
    <row r="22" spans="1:22" x14ac:dyDescent="0.25">
      <c r="A22" s="16" t="s">
        <v>21</v>
      </c>
      <c r="B22" s="16" t="s">
        <v>22</v>
      </c>
      <c r="C22" s="16" t="s">
        <v>23</v>
      </c>
      <c r="D22" s="17" t="s">
        <v>24</v>
      </c>
      <c r="E22" s="17" t="s">
        <v>25</v>
      </c>
      <c r="F22" s="18" t="s">
        <v>26</v>
      </c>
      <c r="G22" s="1" t="s">
        <v>27</v>
      </c>
      <c r="H22" s="1" t="s">
        <v>28</v>
      </c>
      <c r="I22" s="19" t="s">
        <v>21</v>
      </c>
      <c r="J22" s="18" t="s">
        <v>22</v>
      </c>
      <c r="K22" s="18" t="s">
        <v>24</v>
      </c>
      <c r="L22" s="18" t="s">
        <v>29</v>
      </c>
      <c r="M22" s="18" t="s">
        <v>25</v>
      </c>
      <c r="N22" s="18" t="s">
        <v>30</v>
      </c>
      <c r="O22" s="20" t="s">
        <v>27</v>
      </c>
      <c r="P22" s="20" t="s">
        <v>28</v>
      </c>
      <c r="Q22" s="18" t="s">
        <v>21</v>
      </c>
      <c r="R22" s="18" t="s">
        <v>22</v>
      </c>
      <c r="S22" s="19" t="s">
        <v>24</v>
      </c>
      <c r="T22" s="19" t="s">
        <v>29</v>
      </c>
      <c r="U22" s="19" t="s">
        <v>25</v>
      </c>
      <c r="V22" s="19" t="s">
        <v>30</v>
      </c>
    </row>
    <row r="23" spans="1:22" ht="16.5" x14ac:dyDescent="0.25">
      <c r="A23" s="21" t="s">
        <v>31</v>
      </c>
      <c r="B23" s="21" t="s">
        <v>32</v>
      </c>
      <c r="C23" s="21" t="s">
        <v>33</v>
      </c>
      <c r="D23" s="22" t="s">
        <v>34</v>
      </c>
      <c r="E23" s="22" t="s">
        <v>35</v>
      </c>
      <c r="F23" s="2" t="s">
        <v>35</v>
      </c>
      <c r="G23" s="1" t="s">
        <v>31</v>
      </c>
      <c r="H23" s="1" t="s">
        <v>31</v>
      </c>
      <c r="I23" s="23" t="s">
        <v>36</v>
      </c>
      <c r="J23" s="2" t="s">
        <v>32</v>
      </c>
      <c r="K23" s="2" t="s">
        <v>34</v>
      </c>
      <c r="L23" s="2" t="s">
        <v>34</v>
      </c>
      <c r="M23" s="2" t="s">
        <v>35</v>
      </c>
      <c r="N23" s="2" t="s">
        <v>35</v>
      </c>
      <c r="O23" s="1" t="s">
        <v>31</v>
      </c>
      <c r="P23" s="1" t="s">
        <v>31</v>
      </c>
      <c r="Q23" s="2" t="s">
        <v>36</v>
      </c>
      <c r="R23" s="2" t="s">
        <v>32</v>
      </c>
      <c r="S23" s="23" t="s">
        <v>37</v>
      </c>
      <c r="T23" s="23" t="s">
        <v>37</v>
      </c>
      <c r="U23" s="23" t="s">
        <v>38</v>
      </c>
      <c r="V23" s="23" t="s">
        <v>38</v>
      </c>
    </row>
    <row r="24" spans="1:22" x14ac:dyDescent="0.25">
      <c r="A24" s="9">
        <v>0</v>
      </c>
      <c r="B24" s="9">
        <v>104.2</v>
      </c>
      <c r="C24" s="10">
        <v>10349</v>
      </c>
      <c r="D24" s="24">
        <f>(C24*43560)/(3.28084^2)</f>
        <v>41880914.435039036</v>
      </c>
      <c r="E24" s="24">
        <f>(1/3)*(D24+D25+((D24*D25)^0.5))*((A25-A24)/3.28084)</f>
        <v>3795866.8536954448</v>
      </c>
      <c r="F24" s="24">
        <f>F25+E24</f>
        <v>133422934.36279526</v>
      </c>
      <c r="G24" s="25" t="str">
        <f t="shared" ref="G24:G33" si="0">IF($C$9=B24,B24, IF($C$9&lt;B24,IF($C$9&gt;B25,$C$9,""),""))</f>
        <v/>
      </c>
      <c r="H24" s="25" t="str">
        <f t="shared" ref="H24:H34" si="1">IF(B24&gt;$C$10,"",IF(B24=$C$10,$C$10,IF(B24&lt;$C$10,IF(B23&gt;$C$10,$C$10,""),"")))</f>
        <v/>
      </c>
      <c r="I24" s="26" t="str">
        <f t="shared" ref="I24:I34" si="2">IF(J24="","",($C$9-J24)/3.28084)</f>
        <v/>
      </c>
      <c r="J24" s="22" t="str">
        <f t="shared" ref="J24:J34" si="3">IF(G24=$C$9,G24, IF(H24=$C$10,H24,IF(B24&gt;$C$10,IF(B24&lt;$C$9,B24,""),"")))</f>
        <v/>
      </c>
      <c r="K24" s="24" t="str">
        <f t="shared" ref="K24:K33" si="4">IF(J24=B24,D24,IF(J24=$C$9,((((J24-J25)/(B24-J25))*(D24-K25))+K25),IF(J24=$C$10,((((J24-B24)/(B23-B24))*(D23-D24))+D24),"")))</f>
        <v/>
      </c>
      <c r="L24" s="24" t="str">
        <f t="shared" ref="L24:L34" si="5">IF(K24="","",K24-(MIN($K$24:$K$34)))</f>
        <v/>
      </c>
      <c r="M24" s="24" t="str">
        <f>IF(J24="","",IF(J24=$C$10,0,((1/3)*(L24+L25+((L24*L25)^0.5))*(I25-I24))))</f>
        <v/>
      </c>
      <c r="N24" s="24" t="str">
        <f>IF(M24="","",IF(M24=0,0,(N25+M24)))</f>
        <v/>
      </c>
      <c r="O24" s="27" t="str">
        <f>IF(J24="","",IF($C$11&lt;J24,IF($C$11&gt;J25,$C$11,""),""))</f>
        <v/>
      </c>
      <c r="P24" s="27" t="str">
        <f>H24</f>
        <v/>
      </c>
      <c r="Q24" s="28" t="str">
        <f>IF(R24="","",(($C$11-R24)/3.28084))</f>
        <v/>
      </c>
      <c r="R24" s="22" t="str">
        <f>IF(O24=$C$11, $C$11,IF(J24&gt;$C$11,"",J24))</f>
        <v/>
      </c>
      <c r="S24" s="24" t="str">
        <f>IF(R24="","",IF(R24=$C$11,((((R24-R25)/(J24-R25))*(K24-K25))+K25),K24))</f>
        <v/>
      </c>
      <c r="T24" s="24" t="str">
        <f t="shared" ref="T24:T34" si="6">IF(S24="","",S24-MIN($S$24:$S$34))</f>
        <v/>
      </c>
      <c r="U24" s="24" t="str">
        <f>IF(R24="","",IF(J24=$C$10,0,((1/3)*(T24+T25+((T24*T25)^0.5))*(Q25-Q24))))</f>
        <v/>
      </c>
      <c r="V24" s="24" t="str">
        <f>IF(U24="","",IF(U24=0,0,(V25+U24)))</f>
        <v/>
      </c>
    </row>
    <row r="25" spans="1:22" x14ac:dyDescent="0.25">
      <c r="A25" s="9">
        <v>0.3</v>
      </c>
      <c r="B25" s="9">
        <f>$B$24-A25</f>
        <v>103.9</v>
      </c>
      <c r="C25" s="10">
        <v>10167</v>
      </c>
      <c r="D25" s="24">
        <f t="shared" ref="D25:D34" si="7">(C25*43560)/(3.28084^2)</f>
        <v>41144386.613300018</v>
      </c>
      <c r="E25" s="24">
        <f>(1/3)*(D25+D26+((D25*D26)^0.5))*((A26-A25)/3.28084)</f>
        <v>11066752.41759889</v>
      </c>
      <c r="F25" s="24">
        <f t="shared" ref="F25:F31" si="8">F26+E25</f>
        <v>129627067.50909981</v>
      </c>
      <c r="G25" s="25" t="str">
        <f t="shared" si="0"/>
        <v/>
      </c>
      <c r="H25" s="25" t="str">
        <f t="shared" si="1"/>
        <v/>
      </c>
      <c r="I25" s="26" t="str">
        <f t="shared" si="2"/>
        <v/>
      </c>
      <c r="J25" s="22" t="str">
        <f t="shared" si="3"/>
        <v/>
      </c>
      <c r="K25" s="24" t="str">
        <f t="shared" si="4"/>
        <v/>
      </c>
      <c r="L25" s="24" t="str">
        <f t="shared" si="5"/>
        <v/>
      </c>
      <c r="M25" s="24" t="str">
        <f t="shared" ref="M25:M34" si="9">IF(J25="","",IF(J25=$C$10,0,((1/3)*(L25+L26+((L25*L26)^0.5))*(I26-I25))))</f>
        <v/>
      </c>
      <c r="N25" s="24" t="str">
        <f t="shared" ref="N25:N33" si="10">IF(M25="","",IF(M25=0,0,(N26+M25)))</f>
        <v/>
      </c>
      <c r="O25" s="27" t="str">
        <f t="shared" ref="O25:O33" si="11">IF(J25="","",IF($C$11&lt;J25,IF($C$11&gt;J26,$C$11,""),""))</f>
        <v/>
      </c>
      <c r="P25" s="27" t="str">
        <f t="shared" ref="P25:P34" si="12">H25</f>
        <v/>
      </c>
      <c r="Q25" s="28" t="str">
        <f t="shared" ref="Q25:Q34" si="13">IF(R25="","",(($C$11-R25)/3.28084))</f>
        <v/>
      </c>
      <c r="R25" s="22" t="str">
        <f t="shared" ref="R25:R34" si="14">IF(O25=$C$11, $C$11,IF(J25&gt;$C$11,"",J25))</f>
        <v/>
      </c>
      <c r="S25" s="24" t="str">
        <f t="shared" ref="S25:S33" si="15">IF(R25="","",IF(R25=$C$11,((((R25-R26)/(J25-R26))*(K25-K26))+K26),K25))</f>
        <v/>
      </c>
      <c r="T25" s="24" t="str">
        <f t="shared" si="6"/>
        <v/>
      </c>
      <c r="U25" s="24" t="str">
        <f t="shared" ref="U25:U34" si="16">IF(R25="","",IF(J25=$C$10,0,((1/3)*(T25+T26+((T25*T26)^0.5))*(Q26-Q25))))</f>
        <v/>
      </c>
      <c r="V25" s="24" t="str">
        <f t="shared" ref="V25:V33" si="17">IF(U25="","",IF(U25=0,0,(V26+U25)))</f>
        <v/>
      </c>
    </row>
    <row r="26" spans="1:22" x14ac:dyDescent="0.25">
      <c r="A26" s="9">
        <v>1.2</v>
      </c>
      <c r="B26" s="9">
        <f t="shared" ref="B26:B34" si="18">$B$24-A26</f>
        <v>103</v>
      </c>
      <c r="C26" s="10">
        <v>9772</v>
      </c>
      <c r="D26" s="24">
        <f t="shared" si="7"/>
        <v>39545878.428756543</v>
      </c>
      <c r="E26" s="24">
        <f t="shared" ref="E26:E33" si="19">(1/3)*(D26+D27+((D26*D27)^0.5))*((A27-A26)/3.28084)</f>
        <v>11829000.219779404</v>
      </c>
      <c r="F26" s="24">
        <f t="shared" si="8"/>
        <v>118560315.09150092</v>
      </c>
      <c r="G26" s="25">
        <f t="shared" si="0"/>
        <v>103</v>
      </c>
      <c r="H26" s="25" t="str">
        <f t="shared" si="1"/>
        <v/>
      </c>
      <c r="I26" s="26">
        <f t="shared" si="2"/>
        <v>0</v>
      </c>
      <c r="J26" s="22">
        <f t="shared" si="3"/>
        <v>103</v>
      </c>
      <c r="K26" s="24">
        <f t="shared" si="4"/>
        <v>39545878.428756543</v>
      </c>
      <c r="L26" s="24">
        <f>IF(K26="","",K26-(MIN($K$24:$K$34)))</f>
        <v>17937843.028750788</v>
      </c>
      <c r="M26" s="24">
        <f>IF(J26="","",IF(J26=$C$10,0,((1/3)*(L26+L27+((L26*L27)^0.5))*(I27-I26))))</f>
        <v>5241983.6335458122</v>
      </c>
      <c r="N26" s="24">
        <f>IF(M26="","",IF(M26=0,0,(N27+M26)))</f>
        <v>33192913.436159808</v>
      </c>
      <c r="O26" s="27" t="str">
        <f t="shared" si="11"/>
        <v/>
      </c>
      <c r="P26" s="27" t="str">
        <f t="shared" si="12"/>
        <v/>
      </c>
      <c r="Q26" s="28" t="str">
        <f t="shared" si="13"/>
        <v/>
      </c>
      <c r="R26" s="22" t="str">
        <f t="shared" si="14"/>
        <v/>
      </c>
      <c r="S26" s="24" t="str">
        <f t="shared" si="15"/>
        <v/>
      </c>
      <c r="T26" s="24" t="str">
        <f t="shared" si="6"/>
        <v/>
      </c>
      <c r="U26" s="24" t="str">
        <f t="shared" si="16"/>
        <v/>
      </c>
      <c r="V26" s="24" t="str">
        <f t="shared" si="17"/>
        <v/>
      </c>
    </row>
    <row r="27" spans="1:22" x14ac:dyDescent="0.25">
      <c r="A27" s="9">
        <v>2.2000000000000002</v>
      </c>
      <c r="B27" s="9">
        <f t="shared" si="18"/>
        <v>102</v>
      </c>
      <c r="C27" s="10">
        <v>9409</v>
      </c>
      <c r="D27" s="24">
        <f t="shared" si="7"/>
        <v>38076869.641441904</v>
      </c>
      <c r="E27" s="24">
        <f t="shared" si="19"/>
        <v>22330161.716949988</v>
      </c>
      <c r="F27" s="24">
        <f>F28+E27</f>
        <v>106731314.87172152</v>
      </c>
      <c r="G27" s="25" t="str">
        <f t="shared" si="0"/>
        <v/>
      </c>
      <c r="H27" s="25" t="str">
        <f t="shared" si="1"/>
        <v/>
      </c>
      <c r="I27" s="26">
        <f t="shared" si="2"/>
        <v>0.30479999024640031</v>
      </c>
      <c r="J27" s="22">
        <f t="shared" si="3"/>
        <v>102</v>
      </c>
      <c r="K27" s="24">
        <f t="shared" si="4"/>
        <v>38076869.641441904</v>
      </c>
      <c r="L27" s="24">
        <f t="shared" si="5"/>
        <v>16468834.24143615</v>
      </c>
      <c r="M27" s="24">
        <f t="shared" si="9"/>
        <v>9149647.3600998614</v>
      </c>
      <c r="N27" s="24">
        <f t="shared" si="10"/>
        <v>27950929.802613996</v>
      </c>
      <c r="O27" s="27">
        <f t="shared" si="11"/>
        <v>100.1</v>
      </c>
      <c r="P27" s="27" t="str">
        <f t="shared" si="12"/>
        <v/>
      </c>
      <c r="Q27" s="28">
        <f t="shared" si="13"/>
        <v>0</v>
      </c>
      <c r="R27" s="22">
        <f t="shared" si="14"/>
        <v>100.1</v>
      </c>
      <c r="S27" s="24">
        <f t="shared" si="15"/>
        <v>35347265.159227788</v>
      </c>
      <c r="T27" s="24">
        <f>IF(S27="","",S27-MIN($S$24:$S$34))</f>
        <v>13739229.759222034</v>
      </c>
      <c r="U27" s="24">
        <f>IF(R27="","",IF(J27=$C$10,0,((1/3)*(T27+T28+((T27*T28)^0.5))*(Q28-Q27))))</f>
        <v>416580.36176566768</v>
      </c>
      <c r="V27" s="24">
        <f t="shared" si="17"/>
        <v>19217862.804279804</v>
      </c>
    </row>
    <row r="28" spans="1:22" x14ac:dyDescent="0.25">
      <c r="A28" s="9">
        <v>4.2</v>
      </c>
      <c r="B28" s="9">
        <f t="shared" si="18"/>
        <v>100</v>
      </c>
      <c r="C28" s="10">
        <v>8699</v>
      </c>
      <c r="D28" s="24">
        <f t="shared" si="7"/>
        <v>35203601.765427053</v>
      </c>
      <c r="E28" s="24">
        <f t="shared" si="19"/>
        <v>20550593.584870141</v>
      </c>
      <c r="F28" s="24">
        <f t="shared" si="8"/>
        <v>84401153.154771537</v>
      </c>
      <c r="G28" s="25" t="str">
        <f t="shared" si="0"/>
        <v/>
      </c>
      <c r="H28" s="25" t="str">
        <f t="shared" si="1"/>
        <v/>
      </c>
      <c r="I28" s="26">
        <f t="shared" si="2"/>
        <v>0.91439997073920098</v>
      </c>
      <c r="J28" s="22">
        <f t="shared" si="3"/>
        <v>100</v>
      </c>
      <c r="K28" s="24">
        <f t="shared" si="4"/>
        <v>35203601.765427053</v>
      </c>
      <c r="L28" s="24">
        <f t="shared" si="5"/>
        <v>13595566.365421299</v>
      </c>
      <c r="M28" s="24">
        <f t="shared" si="9"/>
        <v>7366480.3223287035</v>
      </c>
      <c r="N28" s="24">
        <f t="shared" si="10"/>
        <v>18801282.442514136</v>
      </c>
      <c r="O28" s="27" t="str">
        <f t="shared" si="11"/>
        <v/>
      </c>
      <c r="P28" s="27" t="str">
        <f t="shared" si="12"/>
        <v/>
      </c>
      <c r="Q28" s="28">
        <f t="shared" si="13"/>
        <v>3.0479999024638299E-2</v>
      </c>
      <c r="R28" s="22">
        <f t="shared" si="14"/>
        <v>100</v>
      </c>
      <c r="S28" s="24">
        <f t="shared" si="15"/>
        <v>35203601.765427053</v>
      </c>
      <c r="T28" s="24">
        <f t="shared" si="6"/>
        <v>13595566.365421299</v>
      </c>
      <c r="U28" s="24">
        <f t="shared" si="16"/>
        <v>7366480.3223287053</v>
      </c>
      <c r="V28" s="24">
        <f t="shared" si="17"/>
        <v>18801282.442514136</v>
      </c>
    </row>
    <row r="29" spans="1:22" x14ac:dyDescent="0.25">
      <c r="A29" s="9">
        <v>6.2</v>
      </c>
      <c r="B29" s="9">
        <f t="shared" si="18"/>
        <v>98</v>
      </c>
      <c r="C29" s="10">
        <v>7967</v>
      </c>
      <c r="D29" s="24">
        <f t="shared" si="7"/>
        <v>32241303.053817373</v>
      </c>
      <c r="E29" s="24">
        <f t="shared" si="19"/>
        <v>18898130.122380074</v>
      </c>
      <c r="F29" s="24">
        <f t="shared" si="8"/>
        <v>63850559.569901392</v>
      </c>
      <c r="G29" s="25" t="str">
        <f t="shared" si="0"/>
        <v/>
      </c>
      <c r="H29" s="25" t="str">
        <f t="shared" si="1"/>
        <v/>
      </c>
      <c r="I29" s="26">
        <f t="shared" si="2"/>
        <v>1.5239999512320015</v>
      </c>
      <c r="J29" s="22">
        <f t="shared" si="3"/>
        <v>98</v>
      </c>
      <c r="K29" s="24">
        <f t="shared" si="4"/>
        <v>32241303.053817373</v>
      </c>
      <c r="L29" s="24">
        <f t="shared" si="5"/>
        <v>10633267.653811619</v>
      </c>
      <c r="M29" s="24">
        <f t="shared" si="9"/>
        <v>5714367.4837032789</v>
      </c>
      <c r="N29" s="24">
        <f t="shared" si="10"/>
        <v>11434802.120185431</v>
      </c>
      <c r="O29" s="27" t="str">
        <f t="shared" si="11"/>
        <v/>
      </c>
      <c r="P29" s="27" t="str">
        <f t="shared" si="12"/>
        <v/>
      </c>
      <c r="Q29" s="28">
        <f t="shared" si="13"/>
        <v>0.64007997951743889</v>
      </c>
      <c r="R29" s="22">
        <f t="shared" si="14"/>
        <v>98</v>
      </c>
      <c r="S29" s="24">
        <f t="shared" si="15"/>
        <v>32241303.053817373</v>
      </c>
      <c r="T29" s="24">
        <f t="shared" si="6"/>
        <v>10633267.653811619</v>
      </c>
      <c r="U29" s="24">
        <f t="shared" si="16"/>
        <v>5714367.4837032799</v>
      </c>
      <c r="V29" s="24">
        <f t="shared" si="17"/>
        <v>11434802.120185431</v>
      </c>
    </row>
    <row r="30" spans="1:22" x14ac:dyDescent="0.25">
      <c r="A30" s="9">
        <v>8.1999999999999993</v>
      </c>
      <c r="B30" s="9">
        <f t="shared" si="18"/>
        <v>96</v>
      </c>
      <c r="C30" s="10">
        <v>7358</v>
      </c>
      <c r="D30" s="24">
        <f t="shared" si="7"/>
        <v>29776767.650306039</v>
      </c>
      <c r="E30" s="24">
        <f t="shared" si="19"/>
        <v>17156926.916979816</v>
      </c>
      <c r="F30" s="24">
        <f t="shared" si="8"/>
        <v>44952429.447521321</v>
      </c>
      <c r="G30" s="25" t="str">
        <f t="shared" si="0"/>
        <v/>
      </c>
      <c r="H30" s="25" t="str">
        <f t="shared" si="1"/>
        <v/>
      </c>
      <c r="I30" s="26">
        <f t="shared" si="2"/>
        <v>2.133599931724802</v>
      </c>
      <c r="J30" s="22">
        <f t="shared" si="3"/>
        <v>96</v>
      </c>
      <c r="K30" s="24">
        <f t="shared" si="4"/>
        <v>29776767.650306039</v>
      </c>
      <c r="L30" s="24">
        <f t="shared" si="5"/>
        <v>8168732.2503002845</v>
      </c>
      <c r="M30" s="24">
        <f t="shared" si="9"/>
        <v>3952939.5850100648</v>
      </c>
      <c r="N30" s="24">
        <f t="shared" si="10"/>
        <v>5720434.6364821531</v>
      </c>
      <c r="O30" s="27" t="str">
        <f t="shared" si="11"/>
        <v/>
      </c>
      <c r="P30" s="27" t="str">
        <f t="shared" si="12"/>
        <v/>
      </c>
      <c r="Q30" s="28">
        <f t="shared" si="13"/>
        <v>1.2496799600102395</v>
      </c>
      <c r="R30" s="22">
        <f t="shared" si="14"/>
        <v>96</v>
      </c>
      <c r="S30" s="24">
        <f t="shared" si="15"/>
        <v>29776767.650306039</v>
      </c>
      <c r="T30" s="24">
        <f t="shared" si="6"/>
        <v>8168732.2503002845</v>
      </c>
      <c r="U30" s="24">
        <f t="shared" si="16"/>
        <v>3952939.5850100634</v>
      </c>
      <c r="V30" s="24">
        <f t="shared" si="17"/>
        <v>5720434.6364821522</v>
      </c>
    </row>
    <row r="31" spans="1:22" x14ac:dyDescent="0.25">
      <c r="A31" s="9">
        <v>10.199999999999999</v>
      </c>
      <c r="B31" s="9">
        <f t="shared" si="18"/>
        <v>94</v>
      </c>
      <c r="C31" s="10">
        <v>6559</v>
      </c>
      <c r="D31" s="24">
        <f t="shared" si="7"/>
        <v>26543329.575748481</v>
      </c>
      <c r="E31" s="24">
        <f t="shared" si="19"/>
        <v>14989933.373670546</v>
      </c>
      <c r="F31" s="24">
        <f t="shared" si="8"/>
        <v>27795502.530541506</v>
      </c>
      <c r="G31" s="25" t="str">
        <f t="shared" si="0"/>
        <v/>
      </c>
      <c r="H31" s="25" t="str">
        <f t="shared" si="1"/>
        <v/>
      </c>
      <c r="I31" s="26">
        <f t="shared" si="2"/>
        <v>2.743199912217603</v>
      </c>
      <c r="J31" s="22">
        <f t="shared" si="3"/>
        <v>94</v>
      </c>
      <c r="K31" s="24">
        <f t="shared" si="4"/>
        <v>26543329.575748481</v>
      </c>
      <c r="L31" s="24">
        <f t="shared" si="5"/>
        <v>4935294.1757427268</v>
      </c>
      <c r="M31" s="24">
        <f t="shared" si="9"/>
        <v>1690864.8149731089</v>
      </c>
      <c r="N31" s="24">
        <f t="shared" si="10"/>
        <v>1767495.0514720888</v>
      </c>
      <c r="O31" s="27" t="str">
        <f t="shared" si="11"/>
        <v/>
      </c>
      <c r="P31" s="27" t="str">
        <f t="shared" si="12"/>
        <v/>
      </c>
      <c r="Q31" s="28">
        <f t="shared" si="13"/>
        <v>1.8592799405030402</v>
      </c>
      <c r="R31" s="22">
        <f t="shared" si="14"/>
        <v>94</v>
      </c>
      <c r="S31" s="24">
        <f t="shared" si="15"/>
        <v>26543329.575748481</v>
      </c>
      <c r="T31" s="24">
        <f t="shared" si="6"/>
        <v>4935294.1757427268</v>
      </c>
      <c r="U31" s="24">
        <f t="shared" si="16"/>
        <v>1690864.8149731089</v>
      </c>
      <c r="V31" s="24">
        <f t="shared" si="17"/>
        <v>1767495.0514720888</v>
      </c>
    </row>
    <row r="32" spans="1:22" x14ac:dyDescent="0.25">
      <c r="A32" s="9">
        <v>12.2</v>
      </c>
      <c r="B32" s="9">
        <f t="shared" si="18"/>
        <v>92</v>
      </c>
      <c r="C32" s="10">
        <v>5606</v>
      </c>
      <c r="D32" s="24">
        <f t="shared" si="7"/>
        <v>22686675.652027134</v>
      </c>
      <c r="E32" s="24">
        <f t="shared" si="19"/>
        <v>4051973.7920056893</v>
      </c>
      <c r="F32" s="24">
        <f>F33+E32</f>
        <v>12805569.156870959</v>
      </c>
      <c r="G32" s="25" t="str">
        <f t="shared" si="0"/>
        <v/>
      </c>
      <c r="H32" s="25" t="str">
        <f t="shared" si="1"/>
        <v/>
      </c>
      <c r="I32" s="26">
        <f t="shared" si="2"/>
        <v>3.3527998927104035</v>
      </c>
      <c r="J32" s="22">
        <f t="shared" si="3"/>
        <v>92</v>
      </c>
      <c r="K32" s="24">
        <f t="shared" si="4"/>
        <v>22686675.652027134</v>
      </c>
      <c r="L32" s="24">
        <f t="shared" si="5"/>
        <v>1078640.2520213798</v>
      </c>
      <c r="M32" s="24">
        <f t="shared" si="9"/>
        <v>76597.964111322974</v>
      </c>
      <c r="N32" s="24">
        <f t="shared" si="10"/>
        <v>76630.23649897991</v>
      </c>
      <c r="O32" s="27" t="str">
        <f t="shared" si="11"/>
        <v/>
      </c>
      <c r="P32" s="27" t="str">
        <f t="shared" si="12"/>
        <v/>
      </c>
      <c r="Q32" s="28">
        <f t="shared" si="13"/>
        <v>2.4688799209958407</v>
      </c>
      <c r="R32" s="22">
        <f t="shared" si="14"/>
        <v>92</v>
      </c>
      <c r="S32" s="24">
        <f t="shared" si="15"/>
        <v>22686675.652027134</v>
      </c>
      <c r="T32" s="24">
        <f t="shared" si="6"/>
        <v>1078640.2520213798</v>
      </c>
      <c r="U32" s="24">
        <f t="shared" si="16"/>
        <v>76597.964111322974</v>
      </c>
      <c r="V32" s="24">
        <f t="shared" si="17"/>
        <v>76630.23649897991</v>
      </c>
    </row>
    <row r="33" spans="1:22" x14ac:dyDescent="0.25">
      <c r="A33" s="9">
        <v>12.8</v>
      </c>
      <c r="B33" s="9">
        <f t="shared" si="18"/>
        <v>91.4</v>
      </c>
      <c r="C33" s="10">
        <v>5345</v>
      </c>
      <c r="D33" s="24">
        <f t="shared" si="7"/>
        <v>21630446.193379421</v>
      </c>
      <c r="E33" s="24">
        <f t="shared" si="19"/>
        <v>8753595.3648652695</v>
      </c>
      <c r="F33" s="24">
        <f>F34+E33</f>
        <v>8753595.3648652695</v>
      </c>
      <c r="G33" s="25" t="str">
        <f t="shared" si="0"/>
        <v/>
      </c>
      <c r="H33" s="25" t="str">
        <f t="shared" si="1"/>
        <v/>
      </c>
      <c r="I33" s="26">
        <f t="shared" si="2"/>
        <v>3.535679886858242</v>
      </c>
      <c r="J33" s="22">
        <f t="shared" si="3"/>
        <v>91.4</v>
      </c>
      <c r="K33" s="24">
        <f t="shared" si="4"/>
        <v>21630446.193379421</v>
      </c>
      <c r="L33" s="24">
        <f t="shared" si="5"/>
        <v>22410.793373666704</v>
      </c>
      <c r="M33" s="24">
        <f t="shared" si="9"/>
        <v>32.27238765693734</v>
      </c>
      <c r="N33" s="24">
        <f t="shared" si="10"/>
        <v>32.27238765693734</v>
      </c>
      <c r="O33" s="27" t="str">
        <f t="shared" si="11"/>
        <v/>
      </c>
      <c r="P33" s="27" t="str">
        <f t="shared" si="12"/>
        <v/>
      </c>
      <c r="Q33" s="28">
        <f t="shared" si="13"/>
        <v>2.6517599151436793</v>
      </c>
      <c r="R33" s="22">
        <f t="shared" si="14"/>
        <v>91.4</v>
      </c>
      <c r="S33" s="24">
        <f t="shared" si="15"/>
        <v>21630446.193379421</v>
      </c>
      <c r="T33" s="24">
        <f t="shared" si="6"/>
        <v>22410.793373666704</v>
      </c>
      <c r="U33" s="24">
        <f t="shared" si="16"/>
        <v>32.27238765693734</v>
      </c>
      <c r="V33" s="24">
        <f t="shared" si="17"/>
        <v>32.27238765693734</v>
      </c>
    </row>
    <row r="34" spans="1:22" x14ac:dyDescent="0.25">
      <c r="A34" s="9">
        <v>14.2</v>
      </c>
      <c r="B34" s="9">
        <f t="shared" si="18"/>
        <v>90</v>
      </c>
      <c r="C34" s="10">
        <v>4798</v>
      </c>
      <c r="D34" s="24">
        <f t="shared" si="7"/>
        <v>19416815.871998966</v>
      </c>
      <c r="E34" s="24">
        <v>0</v>
      </c>
      <c r="F34" s="24">
        <v>0</v>
      </c>
      <c r="G34" s="25" t="str">
        <f>IF($C$9=B34,B34, IF($C$9&lt;B34,IF($C$9&gt;#REF!,$C$9,""),""))</f>
        <v/>
      </c>
      <c r="H34" s="25">
        <f t="shared" si="1"/>
        <v>91.385826399999999</v>
      </c>
      <c r="I34" s="26">
        <f t="shared" si="2"/>
        <v>3.5400000000000005</v>
      </c>
      <c r="J34" s="22">
        <f t="shared" si="3"/>
        <v>91.385826399999999</v>
      </c>
      <c r="K34" s="24">
        <f>IF(J34=B34,D34,IF(J34=$C$9,((((J34-J35)/(B34-J35))*(D34-K35))+K35),IF(J34=$C$10,((((J34-B34)/(B33-B34))*(D33-D34))+D34),"")))</f>
        <v>21608035.400005754</v>
      </c>
      <c r="L34" s="24">
        <f t="shared" si="5"/>
        <v>0</v>
      </c>
      <c r="M34" s="24">
        <f t="shared" si="9"/>
        <v>0</v>
      </c>
      <c r="N34" s="24">
        <f>IF(M34="","",IF(M34=0,0,(N35+M34)))</f>
        <v>0</v>
      </c>
      <c r="O34" s="27" t="str">
        <f>IF(J34="","",IF($C$11&lt;J34,IF($C$11&gt;#REF!,$C$11,""),""))</f>
        <v/>
      </c>
      <c r="P34" s="27">
        <f t="shared" si="12"/>
        <v>91.385826399999999</v>
      </c>
      <c r="Q34" s="28">
        <f t="shared" si="13"/>
        <v>2.6560800282854378</v>
      </c>
      <c r="R34" s="22">
        <f t="shared" si="14"/>
        <v>91.385826399999999</v>
      </c>
      <c r="S34" s="24">
        <f>IF(R34="","",IF(R34=$C$11,((((R34-R35)/(J34-R35))*(K34-K35))+K35),K34))</f>
        <v>21608035.400005754</v>
      </c>
      <c r="T34" s="24">
        <f t="shared" si="6"/>
        <v>0</v>
      </c>
      <c r="U34" s="24">
        <f t="shared" si="16"/>
        <v>0</v>
      </c>
      <c r="V34" s="24">
        <f>IF(U34="","",IF(U34=0,0,(V35+U34)))</f>
        <v>0</v>
      </c>
    </row>
    <row r="36" spans="1:22" x14ac:dyDescent="0.25">
      <c r="A36" s="33" t="s">
        <v>39</v>
      </c>
      <c r="B36" s="33"/>
      <c r="C36" s="33"/>
      <c r="D36" s="33"/>
      <c r="E36" s="33"/>
      <c r="F36" s="33"/>
    </row>
    <row r="37" spans="1:22" x14ac:dyDescent="0.25">
      <c r="A37" s="33"/>
      <c r="B37" s="33"/>
      <c r="C37" s="33"/>
      <c r="D37" s="33"/>
      <c r="E37" s="33"/>
      <c r="F37" s="33"/>
    </row>
    <row r="38" spans="1:22" x14ac:dyDescent="0.25">
      <c r="A38" s="29"/>
      <c r="B38" s="29"/>
      <c r="C38" s="29"/>
      <c r="D38" s="29"/>
      <c r="E38" s="29"/>
    </row>
    <row r="52" spans="4:4" x14ac:dyDescent="0.25">
      <c r="D52" s="24">
        <v>0</v>
      </c>
    </row>
  </sheetData>
  <mergeCells count="17">
    <mergeCell ref="A13:B13"/>
    <mergeCell ref="A21:F21"/>
    <mergeCell ref="A1:F1"/>
    <mergeCell ref="A2:F2"/>
    <mergeCell ref="A4:B4"/>
    <mergeCell ref="A5:B5"/>
    <mergeCell ref="A6:B6"/>
    <mergeCell ref="A14:B14"/>
    <mergeCell ref="A15:B15"/>
    <mergeCell ref="A17:B17"/>
    <mergeCell ref="A18:B18"/>
    <mergeCell ref="A19:B19"/>
    <mergeCell ref="G21:H21"/>
    <mergeCell ref="I21:N21"/>
    <mergeCell ref="O21:P21"/>
    <mergeCell ref="Q21:V21"/>
    <mergeCell ref="A36:F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Littoral Analysis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Mcglauflin, Arthur T</dc:creator>
  <cp:lastModifiedBy>Mcglauflin, Arthur T</cp:lastModifiedBy>
  <dcterms:created xsi:type="dcterms:W3CDTF">2026-01-14T17:50:22Z</dcterms:created>
  <dcterms:modified xsi:type="dcterms:W3CDTF">2026-01-14T18:12:10Z</dcterms:modified>
</cp:coreProperties>
</file>